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E-Portland\ME_ASO\Section 21\Rate Sheets\"/>
    </mc:Choice>
  </mc:AlternateContent>
  <xr:revisionPtr revIDLastSave="0" documentId="13_ncr:1_{8EDFA724-49DF-4A36-B111-A51CC3D9EFA2}" xr6:coauthVersionLast="47" xr6:coauthVersionMax="47" xr10:uidLastSave="{00000000-0000-0000-0000-000000000000}"/>
  <workbookProtection workbookAlgorithmName="SHA-512" workbookHashValue="R2ucz2fkVb+TJWpJPLp2afwT0U47sGoX2UBXNp8GmPdyUqbkikiRpVO9Z6+mmJKztNy5SfbJy6jcR0qSXod21g==" workbookSaltValue="KXPtlcDruol7569/YYYETQ==" workbookSpinCount="100000" lockStructure="1"/>
  <bookViews>
    <workbookView xWindow="-21708" yWindow="-108" windowWidth="21816" windowHeight="13116" xr2:uid="{00000000-000D-0000-FFFF-FFFF00000000}"/>
  </bookViews>
  <sheets>
    <sheet name="T2016PD AND T2016SC RATE SETTER" sheetId="2" r:id="rId1"/>
  </sheets>
  <definedNames>
    <definedName name="_xlnm.Print_Area" localSheetId="0">'T2016PD AND T2016SC RATE SETTER'!$B$1:$S$29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2" l="1"/>
  <c r="H27" i="2"/>
  <c r="H26" i="2"/>
  <c r="H25" i="2"/>
  <c r="H24" i="2"/>
  <c r="H23" i="2"/>
  <c r="Z10" i="2"/>
  <c r="I10" i="2"/>
  <c r="K10" i="2" s="1"/>
  <c r="Z9" i="2"/>
  <c r="I9" i="2"/>
  <c r="K9" i="2" s="1"/>
  <c r="Z8" i="2"/>
  <c r="I8" i="2"/>
  <c r="J8" i="2" s="1"/>
  <c r="V8" i="2" s="1"/>
  <c r="Z7" i="2"/>
  <c r="I7" i="2"/>
  <c r="K7" i="2" s="1"/>
  <c r="Z6" i="2"/>
  <c r="I6" i="2"/>
  <c r="K6" i="2" s="1"/>
  <c r="Z5" i="2"/>
  <c r="I5" i="2"/>
  <c r="K5" i="2" s="1"/>
  <c r="K8" i="2" l="1"/>
  <c r="AB8" i="2" s="1"/>
  <c r="P8" i="2" s="1"/>
  <c r="J5" i="2"/>
  <c r="V5" i="2" s="1"/>
  <c r="P19" i="2"/>
  <c r="AB10" i="2"/>
  <c r="P10" i="2" s="1"/>
  <c r="AC10" i="2"/>
  <c r="AB6" i="2"/>
  <c r="P6" i="2" s="1"/>
  <c r="AC6" i="2"/>
  <c r="J10" i="2"/>
  <c r="V10" i="2" s="1"/>
  <c r="X10" i="2" s="1"/>
  <c r="J6" i="2"/>
  <c r="V6" i="2" s="1"/>
  <c r="X6" i="2" s="1"/>
  <c r="AC7" i="2"/>
  <c r="AB7" i="2"/>
  <c r="P7" i="2" s="1"/>
  <c r="AC5" i="2"/>
  <c r="AB5" i="2"/>
  <c r="P5" i="2" s="1"/>
  <c r="W8" i="2"/>
  <c r="Y8" i="2" s="1"/>
  <c r="L8" i="2"/>
  <c r="X8" i="2"/>
  <c r="AC9" i="2"/>
  <c r="AB9" i="2"/>
  <c r="P9" i="2" s="1"/>
  <c r="P27" i="2" s="1"/>
  <c r="J7" i="2"/>
  <c r="V7" i="2" s="1"/>
  <c r="J9" i="2"/>
  <c r="V9" i="2" s="1"/>
  <c r="AC8" i="2" l="1"/>
  <c r="L10" i="2"/>
  <c r="W10" i="2"/>
  <c r="Y10" i="2" s="1"/>
  <c r="L6" i="2"/>
  <c r="N6" i="2" s="1"/>
  <c r="N24" i="2" s="1"/>
  <c r="W6" i="2"/>
  <c r="Y6" i="2" s="1"/>
  <c r="N8" i="2"/>
  <c r="X7" i="2"/>
  <c r="W7" i="2"/>
  <c r="Y7" i="2" s="1"/>
  <c r="L7" i="2"/>
  <c r="N10" i="2"/>
  <c r="N28" i="2" s="1"/>
  <c r="P11" i="2"/>
  <c r="X5" i="2"/>
  <c r="W5" i="2"/>
  <c r="Y5" i="2" s="1"/>
  <c r="L5" i="2"/>
  <c r="L9" i="2"/>
  <c r="X9" i="2"/>
  <c r="W9" i="2"/>
  <c r="Y9" i="2" s="1"/>
  <c r="R10" i="2" l="1"/>
  <c r="L28" i="2"/>
  <c r="L19" i="2"/>
  <c r="N19" i="2"/>
  <c r="R6" i="2"/>
  <c r="R8" i="2"/>
  <c r="N9" i="2"/>
  <c r="N27" i="2" s="1"/>
  <c r="L11" i="2"/>
  <c r="N5" i="2"/>
  <c r="P17" i="2"/>
  <c r="P20" i="2" s="1"/>
  <c r="P24" i="2" s="1"/>
  <c r="P14" i="2"/>
  <c r="P13" i="2"/>
  <c r="N7" i="2"/>
  <c r="P26" i="2" l="1"/>
  <c r="P28" i="2"/>
  <c r="R28" i="2" s="1"/>
  <c r="P23" i="2"/>
  <c r="P25" i="2"/>
  <c r="R7" i="2"/>
  <c r="N11" i="2"/>
  <c r="L14" i="2"/>
  <c r="L13" i="2"/>
  <c r="L17" i="2"/>
  <c r="L20" i="2" s="1"/>
  <c r="L25" i="2" s="1"/>
  <c r="R9" i="2"/>
  <c r="R5" i="2"/>
  <c r="L26" i="2" l="1"/>
  <c r="L27" i="2"/>
  <c r="R27" i="2" s="1"/>
  <c r="L23" i="2"/>
  <c r="L24" i="2"/>
  <c r="R24" i="2" s="1"/>
  <c r="R11" i="2"/>
  <c r="R13" i="2" s="1"/>
  <c r="N17" i="2"/>
  <c r="N20" i="2" s="1"/>
  <c r="N25" i="2" s="1"/>
  <c r="R25" i="2" s="1"/>
  <c r="N14" i="2"/>
  <c r="N13" i="2"/>
  <c r="N23" i="2" l="1"/>
  <c r="R23" i="2" s="1"/>
  <c r="N26" i="2"/>
  <c r="R26" i="2" s="1"/>
  <c r="R14" i="2"/>
</calcChain>
</file>

<file path=xl/sharedStrings.xml><?xml version="1.0" encoding="utf-8"?>
<sst xmlns="http://schemas.openxmlformats.org/spreadsheetml/2006/main" count="40" uniqueCount="36">
  <si>
    <t>`</t>
  </si>
  <si>
    <t>Section 21 Rate Setter</t>
  </si>
  <si>
    <t>Units</t>
  </si>
  <si>
    <t>Home Support</t>
  </si>
  <si>
    <t>MAO</t>
  </si>
  <si>
    <t>Name of Consumer(s)
Case - Lname</t>
  </si>
  <si>
    <t>Start Date</t>
  </si>
  <si>
    <t>End Date</t>
  </si>
  <si>
    <t>Home Supports</t>
  </si>
  <si>
    <t>Service Length</t>
  </si>
  <si>
    <t>Home Support/Day</t>
  </si>
  <si>
    <t>MAO/Day</t>
  </si>
  <si>
    <r>
      <rPr>
        <b/>
        <sz val="10"/>
        <rFont val="Arial"/>
        <family val="2"/>
      </rPr>
      <t>Up to 168</t>
    </r>
    <r>
      <rPr>
        <b/>
        <sz val="10"/>
        <color theme="1"/>
        <rFont val="Arial"/>
        <family val="2"/>
      </rPr>
      <t xml:space="preserve"> 
per Week </t>
    </r>
  </si>
  <si>
    <r>
      <rPr>
        <b/>
        <sz val="10"/>
        <color rgb="FFFF0000"/>
        <rFont val="Arial"/>
        <family val="2"/>
      </rPr>
      <t>Over 168</t>
    </r>
    <r>
      <rPr>
        <b/>
        <sz val="10"/>
        <color theme="1"/>
        <rFont val="Arial"/>
        <family val="2"/>
      </rPr>
      <t xml:space="preserve"> 
per Week</t>
    </r>
  </si>
  <si>
    <t>Total Weekly Support Hours 
(for all Types)</t>
  </si>
  <si>
    <t>Tot</t>
  </si>
  <si>
    <t>OV</t>
  </si>
  <si>
    <t>MA</t>
  </si>
  <si>
    <t>Total Weekly Support Hours (by Type)</t>
  </si>
  <si>
    <t>Hourly Range - Lowest is 92.5% of Total Weekly Support Hours</t>
  </si>
  <si>
    <t xml:space="preserve">Hourly Range - Highest is 105% of Total Weekly Support Hours </t>
  </si>
  <si>
    <t xml:space="preserve">Have Questions? </t>
  </si>
  <si>
    <t>Number of Days per Week (1-7)</t>
  </si>
  <si>
    <t>Number of Consumers in Home (1-6)</t>
  </si>
  <si>
    <t>Total Per Diem (Daily) Rate (by Type)</t>
  </si>
  <si>
    <t>Name of Consumer(s)</t>
  </si>
  <si>
    <r>
      <t xml:space="preserve">Regular Support Rate </t>
    </r>
    <r>
      <rPr>
        <b/>
        <sz val="10"/>
        <color rgb="FFFF0000"/>
        <rFont val="Arial"/>
        <family val="2"/>
      </rPr>
      <t>(over 168)</t>
    </r>
  </si>
  <si>
    <t>MAO Rate</t>
  </si>
  <si>
    <t>Total Per Diem Rate (for each Consumer)</t>
  </si>
  <si>
    <t>HS</t>
  </si>
  <si>
    <t>KEPRO</t>
  </si>
  <si>
    <t>Provider Relations</t>
  </si>
  <si>
    <t>Hourly Support Reimbursement Rate (by Type)</t>
  </si>
  <si>
    <t>Weekly Support Reimbursement Amount  (by Type)</t>
  </si>
  <si>
    <t>Regular Support Rate (up to 168)</t>
  </si>
  <si>
    <r>
      <rPr>
        <b/>
        <sz val="11"/>
        <rFont val="Arial"/>
        <family val="2"/>
      </rPr>
      <t xml:space="preserve">Updates:
</t>
    </r>
    <r>
      <rPr>
        <sz val="9"/>
        <rFont val="Arial"/>
        <family val="2"/>
      </rPr>
      <t xml:space="preserve">1/1/2023 - Rates were increased                              Effective Date: January 1, 2023                           ▪T2016PD $32.13 to $34.78 up to 168 hours                     ▪T2016PD $28.78 to $31.12 over 168 hours                       ▪T2016SC $38.69 to $41.88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color theme="0"/>
        <rFont val="Arial"/>
        <family val="2"/>
      </rPr>
      <t xml:space="preserve">  ,, 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5/2/22 - Rates were increased                                         Effective Date: January 1, 2022                             ▪T2016PD $29.28 to $32.13 up to 168 hours                     ▪T2016PD $26.20 to $28.78 over 168 hours                       ▪T2016SC $35.53 to $38.69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color theme="0"/>
        <rFont val="Arial"/>
        <family val="2"/>
      </rPr>
      <t xml:space="preserve">. 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      </t>
    </r>
    <r>
      <rPr>
        <u/>
        <sz val="9"/>
        <rFont val="Arial"/>
        <family val="2"/>
      </rPr>
      <t>7/1/21</t>
    </r>
    <r>
      <rPr>
        <sz val="9"/>
        <rFont val="Arial"/>
        <family val="2"/>
      </rPr>
      <t xml:space="preserve"> - Rates were increased                                   Effective Date: July 1, 2021                                                ▪ T2016PD $27.72 to $29.28 up to 168 hours                     ▪ T2016PD $24.80 to $26.20 over 168 hours                                   ▪ T2016SC  $33.57 to $35.53                                                                                                                                                                                                                                                                                                                                         
                                                                                      9/12/18 - Rates were increased                      
Effective Date: Septembe 11, 2018 
▪ T2016PD $22.64 to $27.72 up to 168 hours 
▪ T2016PD $19.72 to $24.80 over 168 hours
▪ T2016SC  $27.41 to $33.57
7/1/18 - Rates were susetted back to SFY17 rates: 
▪ T2016PD $25.04 to $22.64 up to 168 hours 
▪ T2016PD $22.12 to $19.72 over 168 hours
▪ T2016SC  $30.32 to $27.41
9/29/17 - Rates were increased Effective Date: September 29, 2017, retroactive to July 1, 2017. 
▪ T2016PD $22.64 to $25.04 up to 168 hours 
▪ T2016PD $19.72 to $22.12 over 168 hours
▪ T2016SC  $27.41 to $30.32 
10/05/16 - Rates were increased based on the 10/5/16 adopted rule change;
▪ T2016PD $22.43 to $22.64 up to 168 hours 
▪ T2016PD $19.53 to $19.72 over 168 hours
▪ T2016SC  $27.15 to $27.41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</si>
</sst>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mm/dd/yy;@"/>
    <numFmt numFmtId="165" formatCode="[$-10409]m/d/yyyy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i/>
      <sz val="10"/>
      <color rgb="FFFF0000"/>
      <name val="Arial"/>
      <family val="2"/>
    </font>
    <font>
      <b/>
      <u/>
      <sz val="10"/>
      <color theme="1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14"/>
      <color theme="0"/>
      <name val="Arial"/>
      <family val="2"/>
    </font>
    <font>
      <i/>
      <sz val="10"/>
      <color theme="0"/>
      <name val="Arial"/>
      <family val="2"/>
    </font>
    <font>
      <sz val="14"/>
      <color theme="1"/>
      <name val="Arial"/>
      <family val="2"/>
    </font>
    <font>
      <b/>
      <i/>
      <sz val="10"/>
      <color rgb="FFFF0000"/>
      <name val="Arial"/>
      <family val="2"/>
    </font>
    <font>
      <b/>
      <sz val="10"/>
      <color rgb="FF00000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2" fillId="0" borderId="0">
      <alignment vertical="top"/>
    </xf>
  </cellStyleXfs>
  <cellXfs count="9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4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8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1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1" fontId="21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1" fontId="20" fillId="2" borderId="0" xfId="0" applyNumberFormat="1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1" fontId="22" fillId="2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8" fontId="1" fillId="2" borderId="0" xfId="0" applyNumberFormat="1" applyFont="1" applyFill="1" applyAlignment="1">
      <alignment horizontal="center" vertical="center"/>
    </xf>
    <xf numFmtId="165" fontId="2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164" fontId="16" fillId="2" borderId="0" xfId="0" applyNumberFormat="1" applyFont="1" applyFill="1" applyAlignment="1">
      <alignment horizontal="center" wrapText="1"/>
    </xf>
    <xf numFmtId="164" fontId="7" fillId="2" borderId="0" xfId="0" applyNumberFormat="1" applyFont="1" applyFill="1" applyAlignment="1">
      <alignment horizontal="left" vertical="center" wrapText="1"/>
    </xf>
    <xf numFmtId="164" fontId="1" fillId="2" borderId="0" xfId="0" applyNumberFormat="1" applyFont="1" applyFill="1" applyAlignment="1">
      <alignment horizontal="left" vertical="center" wrapText="1"/>
    </xf>
    <xf numFmtId="164" fontId="10" fillId="2" borderId="0" xfId="0" applyNumberFormat="1" applyFont="1" applyFill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2" xfId="0" applyNumberFormat="1" applyFont="1" applyFill="1" applyBorder="1" applyAlignment="1">
      <alignment horizontal="center" vertical="top" wrapText="1"/>
    </xf>
    <xf numFmtId="49" fontId="17" fillId="2" borderId="9" xfId="0" applyNumberFormat="1" applyFont="1" applyFill="1" applyBorder="1" applyAlignment="1">
      <alignment horizontal="center" vertical="top" wrapText="1"/>
    </xf>
    <xf numFmtId="49" fontId="17" fillId="2" borderId="3" xfId="0" applyNumberFormat="1" applyFont="1" applyFill="1" applyBorder="1" applyAlignment="1">
      <alignment horizontal="center" vertical="top" wrapText="1"/>
    </xf>
    <xf numFmtId="49" fontId="17" fillId="2" borderId="10" xfId="0" applyNumberFormat="1" applyFont="1" applyFill="1" applyBorder="1" applyAlignment="1">
      <alignment horizontal="center" vertical="top" wrapText="1"/>
    </xf>
    <xf numFmtId="49" fontId="17" fillId="2" borderId="0" xfId="0" applyNumberFormat="1" applyFont="1" applyFill="1" applyAlignment="1">
      <alignment horizontal="center" vertical="top" wrapText="1"/>
    </xf>
    <xf numFmtId="49" fontId="17" fillId="2" borderId="11" xfId="0" applyNumberFormat="1" applyFont="1" applyFill="1" applyBorder="1" applyAlignment="1">
      <alignment horizontal="center" vertical="top" wrapText="1"/>
    </xf>
    <xf numFmtId="49" fontId="17" fillId="2" borderId="12" xfId="0" applyNumberFormat="1" applyFont="1" applyFill="1" applyBorder="1" applyAlignment="1">
      <alignment horizontal="center" vertical="top" wrapText="1"/>
    </xf>
    <xf numFmtId="49" fontId="17" fillId="2" borderId="13" xfId="0" applyNumberFormat="1" applyFont="1" applyFill="1" applyBorder="1" applyAlignment="1">
      <alignment horizontal="center" vertical="top" wrapText="1"/>
    </xf>
    <xf numFmtId="49" fontId="17" fillId="2" borderId="14" xfId="0" applyNumberFormat="1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4" fontId="1" fillId="2" borderId="5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8" fontId="1" fillId="2" borderId="5" xfId="0" applyNumberFormat="1" applyFont="1" applyFill="1" applyBorder="1" applyAlignment="1">
      <alignment horizontal="center" vertical="center"/>
    </xf>
    <xf numFmtId="8" fontId="1" fillId="2" borderId="6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64" fontId="9" fillId="2" borderId="0" xfId="1" applyNumberFormat="1" applyFill="1" applyBorder="1" applyAlignment="1" applyProtection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indent="2"/>
    </xf>
    <xf numFmtId="0" fontId="4" fillId="2" borderId="7" xfId="0" applyFont="1" applyFill="1" applyBorder="1" applyAlignment="1">
      <alignment horizontal="left" vertical="center" indent="2"/>
    </xf>
    <xf numFmtId="0" fontId="4" fillId="2" borderId="6" xfId="0" applyFont="1" applyFill="1" applyBorder="1" applyAlignment="1">
      <alignment horizontal="left" vertical="center" indent="2"/>
    </xf>
    <xf numFmtId="8" fontId="11" fillId="2" borderId="1" xfId="0" applyNumberFormat="1" applyFont="1" applyFill="1" applyBorder="1" applyAlignment="1">
      <alignment horizontal="center" vertical="center"/>
    </xf>
    <xf numFmtId="8" fontId="4" fillId="2" borderId="5" xfId="0" applyNumberFormat="1" applyFont="1" applyFill="1" applyBorder="1" applyAlignment="1">
      <alignment horizontal="center" vertical="center"/>
    </xf>
    <xf numFmtId="8" fontId="4" fillId="2" borderId="6" xfId="0" applyNumberFormat="1" applyFont="1" applyFill="1" applyBorder="1" applyAlignment="1">
      <alignment horizontal="center" vertical="center"/>
    </xf>
    <xf numFmtId="8" fontId="4" fillId="2" borderId="1" xfId="0" applyNumberFormat="1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oviderrelationsME@kepro.com?subject=KEPRO%20Rate%20Setting%20for%20Section%2021%20Services" TargetMode="External"/><Relationship Id="rId1" Type="http://schemas.openxmlformats.org/officeDocument/2006/relationships/hyperlink" Target="mailto:jadams@apshealthcare.com?subject=Rate%20Setter%20Calcula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F40"/>
  <sheetViews>
    <sheetView tabSelected="1" zoomScale="90" zoomScaleNormal="90" workbookViewId="0">
      <selection activeCell="E5" sqref="E5:G6"/>
    </sheetView>
  </sheetViews>
  <sheetFormatPr defaultColWidth="9.109375" defaultRowHeight="15" customHeight="1" x14ac:dyDescent="0.3"/>
  <cols>
    <col min="1" max="1" width="4" style="1" customWidth="1"/>
    <col min="2" max="2" width="6.88671875" style="1" customWidth="1"/>
    <col min="3" max="3" width="12.6640625" style="2" customWidth="1"/>
    <col min="4" max="4" width="10.6640625" style="1" customWidth="1"/>
    <col min="5" max="6" width="10.6640625" style="3" customWidth="1"/>
    <col min="7" max="8" width="10.44140625" style="1" customWidth="1"/>
    <col min="9" max="9" width="9.5546875" style="1" customWidth="1"/>
    <col min="10" max="10" width="14" style="1" customWidth="1"/>
    <col min="11" max="11" width="12.44140625" style="1" customWidth="1"/>
    <col min="12" max="18" width="7.6640625" style="1" customWidth="1"/>
    <col min="19" max="19" width="9.6640625" style="1" customWidth="1"/>
    <col min="20" max="20" width="9.88671875" style="1" customWidth="1"/>
    <col min="21" max="21" width="7.88671875" style="1" customWidth="1"/>
    <col min="22" max="22" width="6.6640625" style="18" customWidth="1"/>
    <col min="23" max="23" width="7.44140625" style="18" customWidth="1"/>
    <col min="24" max="24" width="4.6640625" style="18" customWidth="1"/>
    <col min="25" max="25" width="4.5546875" style="19" customWidth="1"/>
    <col min="26" max="26" width="5" style="18" customWidth="1"/>
    <col min="27" max="27" width="4.5546875" style="18" customWidth="1"/>
    <col min="28" max="29" width="7.44140625" style="18" customWidth="1"/>
    <col min="30" max="31" width="9.109375" style="18"/>
    <col min="32" max="32" width="9.109375" style="14"/>
    <col min="33" max="16384" width="9.109375" style="1"/>
  </cols>
  <sheetData>
    <row r="1" spans="1:32" ht="15" customHeight="1" x14ac:dyDescent="0.3">
      <c r="AB1" s="18" t="s">
        <v>0</v>
      </c>
    </row>
    <row r="2" spans="1:32" s="4" customFormat="1" ht="15" customHeight="1" x14ac:dyDescent="0.3">
      <c r="C2" s="39" t="s">
        <v>1</v>
      </c>
      <c r="E2" s="40"/>
      <c r="F2" s="40"/>
      <c r="U2" s="26"/>
      <c r="V2" s="20"/>
      <c r="W2" s="20"/>
      <c r="X2" s="20"/>
      <c r="Y2" s="21"/>
      <c r="Z2" s="20"/>
      <c r="AA2" s="20"/>
      <c r="AB2" s="20"/>
      <c r="AC2" s="20"/>
      <c r="AD2" s="20"/>
      <c r="AE2" s="20"/>
      <c r="AF2" s="15"/>
    </row>
    <row r="3" spans="1:32" ht="15" customHeight="1" x14ac:dyDescent="0.3">
      <c r="G3" s="62" t="s">
        <v>2</v>
      </c>
      <c r="H3" s="62"/>
      <c r="L3" s="62" t="s">
        <v>3</v>
      </c>
      <c r="M3" s="62"/>
      <c r="N3" s="62"/>
      <c r="O3" s="62"/>
      <c r="P3" s="62" t="s">
        <v>4</v>
      </c>
      <c r="Q3" s="62"/>
    </row>
    <row r="4" spans="1:32" s="5" customFormat="1" ht="41.25" customHeight="1" x14ac:dyDescent="0.3">
      <c r="C4" s="63" t="s">
        <v>5</v>
      </c>
      <c r="D4" s="64"/>
      <c r="E4" s="41" t="s">
        <v>6</v>
      </c>
      <c r="F4" s="41" t="s">
        <v>7</v>
      </c>
      <c r="G4" s="42" t="s">
        <v>8</v>
      </c>
      <c r="H4" s="42" t="s">
        <v>4</v>
      </c>
      <c r="I4" s="43" t="s">
        <v>9</v>
      </c>
      <c r="J4" s="43" t="s">
        <v>10</v>
      </c>
      <c r="K4" s="43" t="s">
        <v>11</v>
      </c>
      <c r="L4" s="65" t="s">
        <v>12</v>
      </c>
      <c r="M4" s="65"/>
      <c r="N4" s="54" t="s">
        <v>13</v>
      </c>
      <c r="O4" s="55"/>
      <c r="P4" s="66" t="s">
        <v>4</v>
      </c>
      <c r="Q4" s="65"/>
      <c r="R4" s="54" t="s">
        <v>14</v>
      </c>
      <c r="S4" s="55"/>
      <c r="T4" s="6"/>
      <c r="U4" s="6"/>
      <c r="V4" s="22" t="s">
        <v>15</v>
      </c>
      <c r="W4" s="22"/>
      <c r="X4" s="22" t="s">
        <v>29</v>
      </c>
      <c r="Y4" s="23" t="s">
        <v>16</v>
      </c>
      <c r="Z4" s="22" t="s">
        <v>17</v>
      </c>
      <c r="AA4" s="22"/>
      <c r="AB4" s="22" t="s">
        <v>15</v>
      </c>
      <c r="AC4" s="22" t="s">
        <v>17</v>
      </c>
      <c r="AD4" s="22"/>
      <c r="AE4" s="22"/>
      <c r="AF4" s="17"/>
    </row>
    <row r="5" spans="1:32" ht="20.100000000000001" customHeight="1" x14ac:dyDescent="0.3">
      <c r="B5" s="7">
        <v>1</v>
      </c>
      <c r="C5" s="56"/>
      <c r="D5" s="57"/>
      <c r="E5" s="44"/>
      <c r="F5" s="44"/>
      <c r="G5" s="29"/>
      <c r="H5" s="29"/>
      <c r="I5" s="37">
        <f>(F5-E5)+1</f>
        <v>1</v>
      </c>
      <c r="J5" s="38">
        <f t="shared" ref="J5:J10" si="0">ROUND(G5/I5,2)</f>
        <v>0</v>
      </c>
      <c r="K5" s="38">
        <f>ROUND(H5/I5,2)</f>
        <v>0</v>
      </c>
      <c r="L5" s="58">
        <f>IF(V5&lt;168,V5,168)</f>
        <v>0</v>
      </c>
      <c r="M5" s="59"/>
      <c r="N5" s="58">
        <f t="shared" ref="N5:N10" si="1">IF(L5&gt;=168,W5,0)</f>
        <v>0</v>
      </c>
      <c r="O5" s="59"/>
      <c r="P5" s="58">
        <f>AB5</f>
        <v>0</v>
      </c>
      <c r="Q5" s="59"/>
      <c r="R5" s="60">
        <f t="shared" ref="R5:R10" si="2">SUM(L5:Q5)</f>
        <v>0</v>
      </c>
      <c r="S5" s="61"/>
      <c r="T5" s="9"/>
      <c r="U5" s="9"/>
      <c r="V5" s="18">
        <f t="shared" ref="V5:V10" si="3">ROUND(J5*7,2)</f>
        <v>0</v>
      </c>
      <c r="W5" s="18">
        <f>IF(V5-168&lt;0,0,V5-168)</f>
        <v>0</v>
      </c>
      <c r="X5" s="18">
        <f>IF(V5&gt;0,1,0)</f>
        <v>0</v>
      </c>
      <c r="Y5" s="19">
        <f>IF(W5&gt;0,1,0)</f>
        <v>0</v>
      </c>
      <c r="Z5" s="18">
        <f t="shared" ref="Z5:Z10" si="4">IF(H5&gt;0,1,0)</f>
        <v>0</v>
      </c>
      <c r="AB5" s="18">
        <f t="shared" ref="AB5:AB10" si="5">ROUND(K5*7,2)</f>
        <v>0</v>
      </c>
      <c r="AC5" s="18">
        <f t="shared" ref="AC5:AC10" si="6">IF(K5&gt;0,1,0)</f>
        <v>0</v>
      </c>
    </row>
    <row r="6" spans="1:32" ht="20.100000000000001" customHeight="1" x14ac:dyDescent="0.3">
      <c r="B6" s="7">
        <v>2</v>
      </c>
      <c r="C6" s="67"/>
      <c r="D6" s="68"/>
      <c r="E6" s="44"/>
      <c r="F6" s="44"/>
      <c r="G6" s="29"/>
      <c r="H6" s="29"/>
      <c r="I6" s="37">
        <f t="shared" ref="I6:I9" si="7">(F6-E6)+1</f>
        <v>1</v>
      </c>
      <c r="J6" s="38">
        <f t="shared" si="0"/>
        <v>0</v>
      </c>
      <c r="K6" s="38">
        <f t="shared" ref="K6:K10" si="8">ROUND(H6/I6,2)</f>
        <v>0</v>
      </c>
      <c r="L6" s="58">
        <f>IF(V6&lt;168,V6,168)</f>
        <v>0</v>
      </c>
      <c r="M6" s="59"/>
      <c r="N6" s="58">
        <f t="shared" si="1"/>
        <v>0</v>
      </c>
      <c r="O6" s="59"/>
      <c r="P6" s="58">
        <f t="shared" ref="P6:P10" si="9">AB6</f>
        <v>0</v>
      </c>
      <c r="Q6" s="59"/>
      <c r="R6" s="60">
        <f t="shared" si="2"/>
        <v>0</v>
      </c>
      <c r="S6" s="61"/>
      <c r="T6" s="9"/>
      <c r="U6" s="9"/>
      <c r="V6" s="18">
        <f t="shared" si="3"/>
        <v>0</v>
      </c>
      <c r="W6" s="18">
        <f>IF(V6-168&lt;0,0,V6-168)</f>
        <v>0</v>
      </c>
      <c r="X6" s="18">
        <f t="shared" ref="X6:Y10" si="10">IF(V6&gt;0,1,0)</f>
        <v>0</v>
      </c>
      <c r="Y6" s="19">
        <f t="shared" si="10"/>
        <v>0</v>
      </c>
      <c r="Z6" s="18">
        <f t="shared" si="4"/>
        <v>0</v>
      </c>
      <c r="AB6" s="18">
        <f t="shared" si="5"/>
        <v>0</v>
      </c>
      <c r="AC6" s="18">
        <f t="shared" si="6"/>
        <v>0</v>
      </c>
    </row>
    <row r="7" spans="1:32" ht="20.100000000000001" customHeight="1" x14ac:dyDescent="0.3">
      <c r="B7" s="7">
        <v>3</v>
      </c>
      <c r="C7" s="56"/>
      <c r="D7" s="57"/>
      <c r="E7" s="44"/>
      <c r="F7" s="44"/>
      <c r="G7" s="29"/>
      <c r="H7" s="29"/>
      <c r="I7" s="37">
        <f t="shared" si="7"/>
        <v>1</v>
      </c>
      <c r="J7" s="38">
        <f t="shared" si="0"/>
        <v>0</v>
      </c>
      <c r="K7" s="38">
        <f t="shared" si="8"/>
        <v>0</v>
      </c>
      <c r="L7" s="58">
        <f t="shared" ref="L7:L10" si="11">IF(V7&lt;168,V7,168)</f>
        <v>0</v>
      </c>
      <c r="M7" s="59"/>
      <c r="N7" s="58">
        <f t="shared" si="1"/>
        <v>0</v>
      </c>
      <c r="O7" s="59"/>
      <c r="P7" s="58">
        <f t="shared" si="9"/>
        <v>0</v>
      </c>
      <c r="Q7" s="59"/>
      <c r="R7" s="60">
        <f t="shared" si="2"/>
        <v>0</v>
      </c>
      <c r="S7" s="61"/>
      <c r="T7" s="9"/>
      <c r="U7" s="9"/>
      <c r="V7" s="18">
        <f t="shared" si="3"/>
        <v>0</v>
      </c>
      <c r="W7" s="18">
        <f t="shared" ref="W7:W10" si="12">IF(V7-168&lt;0,0,V7-168)</f>
        <v>0</v>
      </c>
      <c r="X7" s="18">
        <f t="shared" si="10"/>
        <v>0</v>
      </c>
      <c r="Y7" s="19">
        <f t="shared" si="10"/>
        <v>0</v>
      </c>
      <c r="Z7" s="18">
        <f t="shared" si="4"/>
        <v>0</v>
      </c>
      <c r="AB7" s="18">
        <f t="shared" si="5"/>
        <v>0</v>
      </c>
      <c r="AC7" s="18">
        <f t="shared" si="6"/>
        <v>0</v>
      </c>
    </row>
    <row r="8" spans="1:32" ht="20.100000000000001" customHeight="1" x14ac:dyDescent="0.3">
      <c r="B8" s="7">
        <v>4</v>
      </c>
      <c r="C8" s="69"/>
      <c r="D8" s="69"/>
      <c r="E8" s="44"/>
      <c r="F8" s="44"/>
      <c r="G8" s="29"/>
      <c r="H8" s="8"/>
      <c r="I8" s="37">
        <f t="shared" si="7"/>
        <v>1</v>
      </c>
      <c r="J8" s="38">
        <f t="shared" si="0"/>
        <v>0</v>
      </c>
      <c r="K8" s="38">
        <f t="shared" si="8"/>
        <v>0</v>
      </c>
      <c r="L8" s="58">
        <f t="shared" si="11"/>
        <v>0</v>
      </c>
      <c r="M8" s="59"/>
      <c r="N8" s="58">
        <f t="shared" si="1"/>
        <v>0</v>
      </c>
      <c r="O8" s="59"/>
      <c r="P8" s="58">
        <f t="shared" si="9"/>
        <v>0</v>
      </c>
      <c r="Q8" s="59"/>
      <c r="R8" s="60">
        <f t="shared" si="2"/>
        <v>0</v>
      </c>
      <c r="S8" s="61"/>
      <c r="T8" s="9"/>
      <c r="U8" s="9"/>
      <c r="V8" s="18">
        <f t="shared" si="3"/>
        <v>0</v>
      </c>
      <c r="W8" s="18">
        <f t="shared" si="12"/>
        <v>0</v>
      </c>
      <c r="X8" s="18">
        <f t="shared" si="10"/>
        <v>0</v>
      </c>
      <c r="Y8" s="19">
        <f t="shared" si="10"/>
        <v>0</v>
      </c>
      <c r="Z8" s="18">
        <f t="shared" si="4"/>
        <v>0</v>
      </c>
      <c r="AB8" s="18">
        <f t="shared" si="5"/>
        <v>0</v>
      </c>
      <c r="AC8" s="18">
        <f t="shared" si="6"/>
        <v>0</v>
      </c>
    </row>
    <row r="9" spans="1:32" ht="20.100000000000001" customHeight="1" x14ac:dyDescent="0.3">
      <c r="B9" s="7">
        <v>5</v>
      </c>
      <c r="C9" s="69"/>
      <c r="D9" s="69"/>
      <c r="E9" s="44"/>
      <c r="F9" s="44"/>
      <c r="G9" s="8"/>
      <c r="H9" s="8"/>
      <c r="I9" s="37">
        <f t="shared" si="7"/>
        <v>1</v>
      </c>
      <c r="J9" s="38">
        <f t="shared" si="0"/>
        <v>0</v>
      </c>
      <c r="K9" s="38">
        <f t="shared" si="8"/>
        <v>0</v>
      </c>
      <c r="L9" s="58">
        <f t="shared" si="11"/>
        <v>0</v>
      </c>
      <c r="M9" s="59"/>
      <c r="N9" s="58">
        <f t="shared" si="1"/>
        <v>0</v>
      </c>
      <c r="O9" s="59"/>
      <c r="P9" s="58">
        <f t="shared" si="9"/>
        <v>0</v>
      </c>
      <c r="Q9" s="59"/>
      <c r="R9" s="60">
        <f t="shared" si="2"/>
        <v>0</v>
      </c>
      <c r="S9" s="61"/>
      <c r="T9" s="9"/>
      <c r="U9" s="9"/>
      <c r="V9" s="18">
        <f t="shared" si="3"/>
        <v>0</v>
      </c>
      <c r="W9" s="18">
        <f t="shared" si="12"/>
        <v>0</v>
      </c>
      <c r="X9" s="18">
        <f t="shared" si="10"/>
        <v>0</v>
      </c>
      <c r="Y9" s="19">
        <f t="shared" si="10"/>
        <v>0</v>
      </c>
      <c r="Z9" s="18">
        <f t="shared" si="4"/>
        <v>0</v>
      </c>
      <c r="AB9" s="18">
        <f t="shared" si="5"/>
        <v>0</v>
      </c>
      <c r="AC9" s="18">
        <f t="shared" si="6"/>
        <v>0</v>
      </c>
    </row>
    <row r="10" spans="1:32" ht="20.100000000000001" customHeight="1" x14ac:dyDescent="0.3">
      <c r="B10" s="7">
        <v>6</v>
      </c>
      <c r="C10" s="69"/>
      <c r="D10" s="69"/>
      <c r="E10" s="28"/>
      <c r="F10" s="28"/>
      <c r="G10" s="8"/>
      <c r="H10" s="8"/>
      <c r="I10" s="37">
        <f>(F10-E10)+1</f>
        <v>1</v>
      </c>
      <c r="J10" s="38">
        <f t="shared" si="0"/>
        <v>0</v>
      </c>
      <c r="K10" s="38">
        <f t="shared" si="8"/>
        <v>0</v>
      </c>
      <c r="L10" s="58">
        <f t="shared" si="11"/>
        <v>0</v>
      </c>
      <c r="M10" s="59"/>
      <c r="N10" s="58">
        <f t="shared" si="1"/>
        <v>0</v>
      </c>
      <c r="O10" s="59"/>
      <c r="P10" s="58">
        <f t="shared" si="9"/>
        <v>0</v>
      </c>
      <c r="Q10" s="59"/>
      <c r="R10" s="60">
        <f t="shared" si="2"/>
        <v>0</v>
      </c>
      <c r="S10" s="61"/>
      <c r="T10" s="9"/>
      <c r="U10" s="9"/>
      <c r="V10" s="18">
        <f t="shared" si="3"/>
        <v>0</v>
      </c>
      <c r="W10" s="18">
        <f t="shared" si="12"/>
        <v>0</v>
      </c>
      <c r="X10" s="18">
        <f t="shared" si="10"/>
        <v>0</v>
      </c>
      <c r="Y10" s="19">
        <f t="shared" si="10"/>
        <v>0</v>
      </c>
      <c r="Z10" s="18">
        <f t="shared" si="4"/>
        <v>0</v>
      </c>
      <c r="AB10" s="18">
        <f t="shared" si="5"/>
        <v>0</v>
      </c>
      <c r="AC10" s="18">
        <f t="shared" si="6"/>
        <v>0</v>
      </c>
    </row>
    <row r="11" spans="1:32" ht="27.9" customHeight="1" x14ac:dyDescent="0.3">
      <c r="B11" s="10"/>
      <c r="C11" s="72"/>
      <c r="D11" s="72"/>
      <c r="E11" s="72"/>
      <c r="F11" s="72"/>
      <c r="G11" s="30"/>
      <c r="H11" s="75" t="s">
        <v>18</v>
      </c>
      <c r="I11" s="76"/>
      <c r="J11" s="76"/>
      <c r="K11" s="76"/>
      <c r="L11" s="60">
        <f>SUM(L5:L10)</f>
        <v>0</v>
      </c>
      <c r="M11" s="61"/>
      <c r="N11" s="60">
        <f>SUM(N5:N10)</f>
        <v>0</v>
      </c>
      <c r="O11" s="61"/>
      <c r="P11" s="60">
        <f>SUM(P5:P10)</f>
        <v>0</v>
      </c>
      <c r="Q11" s="61"/>
      <c r="R11" s="60">
        <f>SUM(R5:R10)</f>
        <v>0</v>
      </c>
      <c r="S11" s="61"/>
      <c r="T11" s="9"/>
      <c r="U11" s="9"/>
    </row>
    <row r="12" spans="1:32" ht="15" customHeight="1" x14ac:dyDescent="0.25">
      <c r="A12" s="10"/>
      <c r="C12" s="31"/>
      <c r="D12" s="31"/>
      <c r="E12" s="32" t="s">
        <v>30</v>
      </c>
      <c r="F12" s="33"/>
      <c r="G12" s="10"/>
    </row>
    <row r="13" spans="1:32" s="10" customFormat="1" ht="27.9" customHeight="1" x14ac:dyDescent="0.3">
      <c r="B13" s="1"/>
      <c r="C13" s="79" t="s">
        <v>21</v>
      </c>
      <c r="D13" s="79"/>
      <c r="E13" s="80" t="s">
        <v>31</v>
      </c>
      <c r="F13" s="34"/>
      <c r="G13" s="1"/>
      <c r="H13" s="73" t="s">
        <v>19</v>
      </c>
      <c r="I13" s="73"/>
      <c r="J13" s="73"/>
      <c r="K13" s="73"/>
      <c r="L13" s="70">
        <f>ROUND(L11*0.925,2)</f>
        <v>0</v>
      </c>
      <c r="M13" s="71"/>
      <c r="N13" s="70">
        <f>ROUND(N11*0.925,2)</f>
        <v>0</v>
      </c>
      <c r="O13" s="71"/>
      <c r="P13" s="74">
        <f>ROUND(P11*0.925,2)</f>
        <v>0</v>
      </c>
      <c r="Q13" s="74"/>
      <c r="R13" s="70">
        <f>ROUND(R11*0.925,2)</f>
        <v>0</v>
      </c>
      <c r="S13" s="71"/>
      <c r="T13" s="11"/>
      <c r="U13" s="11"/>
      <c r="V13" s="24"/>
      <c r="W13" s="24"/>
      <c r="X13" s="24"/>
      <c r="Y13" s="25"/>
      <c r="Z13" s="24"/>
      <c r="AA13" s="24"/>
      <c r="AB13" s="24"/>
      <c r="AC13" s="24"/>
      <c r="AD13" s="24"/>
      <c r="AE13" s="24"/>
      <c r="AF13" s="16"/>
    </row>
    <row r="14" spans="1:32" s="10" customFormat="1" ht="27.9" customHeight="1" x14ac:dyDescent="0.3">
      <c r="A14" s="1"/>
      <c r="B14" s="1"/>
      <c r="C14" s="79"/>
      <c r="D14" s="79"/>
      <c r="E14" s="80"/>
      <c r="F14" s="34"/>
      <c r="G14" s="1"/>
      <c r="H14" s="73" t="s">
        <v>20</v>
      </c>
      <c r="I14" s="73"/>
      <c r="J14" s="73"/>
      <c r="K14" s="73"/>
      <c r="L14" s="70">
        <f>ROUND(L11*1.05,2)</f>
        <v>0</v>
      </c>
      <c r="M14" s="71"/>
      <c r="N14" s="70">
        <f>ROUND(N11*1.05,2)</f>
        <v>0</v>
      </c>
      <c r="O14" s="71"/>
      <c r="P14" s="74">
        <f>ROUND(P11*1.05,2)</f>
        <v>0</v>
      </c>
      <c r="Q14" s="74"/>
      <c r="R14" s="70">
        <f>ROUND(R11*1.05,2)</f>
        <v>0</v>
      </c>
      <c r="S14" s="71"/>
      <c r="T14" s="11"/>
      <c r="U14" s="11"/>
      <c r="V14" s="24"/>
      <c r="W14" s="24"/>
      <c r="X14" s="24"/>
      <c r="Y14" s="25"/>
      <c r="Z14" s="24"/>
      <c r="AA14" s="24"/>
      <c r="AB14" s="24"/>
      <c r="AC14" s="24"/>
      <c r="AD14" s="24"/>
      <c r="AE14" s="24"/>
      <c r="AF14" s="16"/>
    </row>
    <row r="15" spans="1:32" ht="17.25" customHeight="1" x14ac:dyDescent="0.3">
      <c r="C15" s="83"/>
      <c r="D15" s="83"/>
      <c r="E15" s="35"/>
      <c r="F15" s="35"/>
      <c r="H15" s="36"/>
      <c r="I15" s="36"/>
      <c r="J15" s="36"/>
      <c r="K15" s="36"/>
      <c r="L15" s="36"/>
      <c r="M15" s="36"/>
      <c r="Q15" s="10"/>
      <c r="R15" s="10"/>
      <c r="S15" s="10"/>
      <c r="T15" s="10"/>
      <c r="U15" s="10"/>
    </row>
    <row r="16" spans="1:32" ht="27.9" customHeight="1" x14ac:dyDescent="0.3">
      <c r="C16" s="45" t="s">
        <v>35</v>
      </c>
      <c r="D16" s="46"/>
      <c r="E16" s="46"/>
      <c r="F16" s="47"/>
      <c r="H16" s="81" t="s">
        <v>32</v>
      </c>
      <c r="I16" s="81"/>
      <c r="J16" s="81"/>
      <c r="K16" s="81"/>
      <c r="L16" s="77">
        <v>34.78</v>
      </c>
      <c r="M16" s="78"/>
      <c r="N16" s="77">
        <v>31.12</v>
      </c>
      <c r="O16" s="78"/>
      <c r="P16" s="82">
        <v>41.88</v>
      </c>
      <c r="Q16" s="82"/>
      <c r="U16" s="27"/>
    </row>
    <row r="17" spans="3:21" ht="27.9" customHeight="1" x14ac:dyDescent="0.3">
      <c r="C17" s="48"/>
      <c r="D17" s="49"/>
      <c r="E17" s="49"/>
      <c r="F17" s="50"/>
      <c r="H17" s="81" t="s">
        <v>33</v>
      </c>
      <c r="I17" s="81"/>
      <c r="J17" s="81"/>
      <c r="K17" s="81"/>
      <c r="L17" s="77">
        <f>ROUND(L16*L11,2)</f>
        <v>0</v>
      </c>
      <c r="M17" s="78"/>
      <c r="N17" s="77">
        <f>ROUND(N16*N11,2)</f>
        <v>0</v>
      </c>
      <c r="O17" s="78"/>
      <c r="P17" s="82">
        <f>ROUND(P16*P11,2)</f>
        <v>0</v>
      </c>
      <c r="Q17" s="82"/>
    </row>
    <row r="18" spans="3:21" ht="27.9" customHeight="1" x14ac:dyDescent="0.3">
      <c r="C18" s="48"/>
      <c r="D18" s="49"/>
      <c r="E18" s="49"/>
      <c r="F18" s="50"/>
      <c r="H18" s="84" t="s">
        <v>22</v>
      </c>
      <c r="I18" s="84"/>
      <c r="J18" s="84"/>
      <c r="K18" s="84"/>
      <c r="L18" s="85">
        <v>7</v>
      </c>
      <c r="M18" s="86"/>
      <c r="N18" s="85">
        <v>7</v>
      </c>
      <c r="O18" s="86"/>
      <c r="P18" s="87">
        <v>7</v>
      </c>
      <c r="Q18" s="87"/>
    </row>
    <row r="19" spans="3:21" ht="27.9" customHeight="1" x14ac:dyDescent="0.3">
      <c r="C19" s="48"/>
      <c r="D19" s="49"/>
      <c r="E19" s="49"/>
      <c r="F19" s="50"/>
      <c r="H19" s="84" t="s">
        <v>23</v>
      </c>
      <c r="I19" s="84"/>
      <c r="J19" s="84"/>
      <c r="K19" s="84"/>
      <c r="L19" s="85">
        <f>SUM(X5:X10)</f>
        <v>0</v>
      </c>
      <c r="M19" s="86"/>
      <c r="N19" s="88">
        <f>SUM(Y5:Y10)</f>
        <v>0</v>
      </c>
      <c r="O19" s="86"/>
      <c r="P19" s="87">
        <f>SUM(Z5:Z10)</f>
        <v>0</v>
      </c>
      <c r="Q19" s="87"/>
      <c r="R19" s="12"/>
      <c r="S19" s="12"/>
      <c r="T19" s="12"/>
      <c r="U19" s="12"/>
    </row>
    <row r="20" spans="3:21" ht="27.9" customHeight="1" x14ac:dyDescent="0.3">
      <c r="C20" s="48"/>
      <c r="D20" s="49"/>
      <c r="E20" s="49"/>
      <c r="F20" s="50"/>
      <c r="H20" s="81" t="s">
        <v>24</v>
      </c>
      <c r="I20" s="81"/>
      <c r="J20" s="81"/>
      <c r="K20" s="81"/>
      <c r="L20" s="93" t="e">
        <f>ROUND(((L17/L18)/L19),2)</f>
        <v>#DIV/0!</v>
      </c>
      <c r="M20" s="94"/>
      <c r="N20" s="93" t="e">
        <f>ROUND(((N17/N18)/N19),2)</f>
        <v>#DIV/0!</v>
      </c>
      <c r="O20" s="94"/>
      <c r="P20" s="95" t="e">
        <f>ROUND(((P17/P18)/P19),2)</f>
        <v>#DIV/0!</v>
      </c>
      <c r="Q20" s="95"/>
    </row>
    <row r="21" spans="3:21" ht="15" customHeight="1" x14ac:dyDescent="0.3">
      <c r="C21" s="48"/>
      <c r="D21" s="49"/>
      <c r="E21" s="49"/>
      <c r="F21" s="50"/>
    </row>
    <row r="22" spans="3:21" ht="38.1" customHeight="1" x14ac:dyDescent="0.3">
      <c r="C22" s="48"/>
      <c r="D22" s="49"/>
      <c r="E22" s="49"/>
      <c r="F22" s="50"/>
      <c r="H22" s="62" t="s">
        <v>25</v>
      </c>
      <c r="I22" s="62"/>
      <c r="J22" s="62"/>
      <c r="K22" s="62"/>
      <c r="L22" s="65" t="s">
        <v>34</v>
      </c>
      <c r="M22" s="65"/>
      <c r="N22" s="54" t="s">
        <v>26</v>
      </c>
      <c r="O22" s="55"/>
      <c r="P22" s="54" t="s">
        <v>27</v>
      </c>
      <c r="Q22" s="55"/>
      <c r="R22" s="65" t="s">
        <v>28</v>
      </c>
      <c r="S22" s="65"/>
      <c r="T22" s="6"/>
      <c r="U22" s="6"/>
    </row>
    <row r="23" spans="3:21" ht="20.100000000000001" customHeight="1" x14ac:dyDescent="0.3">
      <c r="C23" s="48"/>
      <c r="D23" s="49"/>
      <c r="E23" s="49"/>
      <c r="F23" s="50"/>
      <c r="H23" s="89" t="str">
        <f>IF(C5&lt;1,"",C5)</f>
        <v/>
      </c>
      <c r="I23" s="90"/>
      <c r="J23" s="90"/>
      <c r="K23" s="91"/>
      <c r="L23" s="82">
        <f>IF(L5,$L$20,0)</f>
        <v>0</v>
      </c>
      <c r="M23" s="82"/>
      <c r="N23" s="77">
        <f t="shared" ref="N23:N28" si="13">IF(N5,N$20,0)</f>
        <v>0</v>
      </c>
      <c r="O23" s="78"/>
      <c r="P23" s="77">
        <f>IF(P5,P$20,0)</f>
        <v>0</v>
      </c>
      <c r="Q23" s="78"/>
      <c r="R23" s="92">
        <f>L23+N23+P23</f>
        <v>0</v>
      </c>
      <c r="S23" s="92"/>
      <c r="T23" s="13"/>
      <c r="U23" s="13"/>
    </row>
    <row r="24" spans="3:21" ht="20.100000000000001" customHeight="1" x14ac:dyDescent="0.3">
      <c r="C24" s="48"/>
      <c r="D24" s="49"/>
      <c r="E24" s="49"/>
      <c r="F24" s="50"/>
      <c r="H24" s="89" t="str">
        <f t="shared" ref="H24:H26" si="14">IF(C6&lt;1,"",C6)</f>
        <v/>
      </c>
      <c r="I24" s="90"/>
      <c r="J24" s="90"/>
      <c r="K24" s="91"/>
      <c r="L24" s="82">
        <f t="shared" ref="L24:L27" si="15">IF(L6,$L$20,0)</f>
        <v>0</v>
      </c>
      <c r="M24" s="82"/>
      <c r="N24" s="77">
        <f t="shared" si="13"/>
        <v>0</v>
      </c>
      <c r="O24" s="78"/>
      <c r="P24" s="77">
        <f t="shared" ref="P24:P28" si="16">IF(P6,P$20,0)</f>
        <v>0</v>
      </c>
      <c r="Q24" s="78"/>
      <c r="R24" s="92">
        <f t="shared" ref="R24:R28" si="17">L24+N24+P24</f>
        <v>0</v>
      </c>
      <c r="S24" s="92"/>
      <c r="T24" s="13"/>
      <c r="U24" s="13"/>
    </row>
    <row r="25" spans="3:21" ht="20.100000000000001" customHeight="1" x14ac:dyDescent="0.3">
      <c r="C25" s="48"/>
      <c r="D25" s="49"/>
      <c r="E25" s="49"/>
      <c r="F25" s="50"/>
      <c r="H25" s="89" t="str">
        <f t="shared" si="14"/>
        <v/>
      </c>
      <c r="I25" s="90"/>
      <c r="J25" s="90"/>
      <c r="K25" s="91"/>
      <c r="L25" s="82">
        <f t="shared" si="15"/>
        <v>0</v>
      </c>
      <c r="M25" s="82"/>
      <c r="N25" s="77">
        <f t="shared" si="13"/>
        <v>0</v>
      </c>
      <c r="O25" s="78"/>
      <c r="P25" s="77">
        <f t="shared" si="16"/>
        <v>0</v>
      </c>
      <c r="Q25" s="78"/>
      <c r="R25" s="92">
        <f t="shared" si="17"/>
        <v>0</v>
      </c>
      <c r="S25" s="92"/>
      <c r="T25" s="13"/>
      <c r="U25" s="13"/>
    </row>
    <row r="26" spans="3:21" ht="20.100000000000001" customHeight="1" x14ac:dyDescent="0.3">
      <c r="C26" s="48"/>
      <c r="D26" s="49"/>
      <c r="E26" s="49"/>
      <c r="F26" s="50"/>
      <c r="H26" s="89" t="str">
        <f t="shared" si="14"/>
        <v/>
      </c>
      <c r="I26" s="90"/>
      <c r="J26" s="90"/>
      <c r="K26" s="91"/>
      <c r="L26" s="82">
        <f t="shared" si="15"/>
        <v>0</v>
      </c>
      <c r="M26" s="82"/>
      <c r="N26" s="77">
        <f t="shared" si="13"/>
        <v>0</v>
      </c>
      <c r="O26" s="78"/>
      <c r="P26" s="77">
        <f t="shared" si="16"/>
        <v>0</v>
      </c>
      <c r="Q26" s="78"/>
      <c r="R26" s="92">
        <f t="shared" si="17"/>
        <v>0</v>
      </c>
      <c r="S26" s="92"/>
      <c r="T26" s="13"/>
      <c r="U26" s="13"/>
    </row>
    <row r="27" spans="3:21" ht="20.100000000000001" customHeight="1" x14ac:dyDescent="0.3">
      <c r="C27" s="48"/>
      <c r="D27" s="49"/>
      <c r="E27" s="49"/>
      <c r="F27" s="50"/>
      <c r="H27" s="89" t="str">
        <f>IF(C9&lt;1,"",C9)</f>
        <v/>
      </c>
      <c r="I27" s="90"/>
      <c r="J27" s="90"/>
      <c r="K27" s="91"/>
      <c r="L27" s="82">
        <f t="shared" si="15"/>
        <v>0</v>
      </c>
      <c r="M27" s="82"/>
      <c r="N27" s="77">
        <f t="shared" si="13"/>
        <v>0</v>
      </c>
      <c r="O27" s="78"/>
      <c r="P27" s="77">
        <f t="shared" si="16"/>
        <v>0</v>
      </c>
      <c r="Q27" s="78"/>
      <c r="R27" s="92">
        <f t="shared" si="17"/>
        <v>0</v>
      </c>
      <c r="S27" s="92"/>
      <c r="T27" s="13"/>
      <c r="U27" s="13"/>
    </row>
    <row r="28" spans="3:21" ht="20.100000000000001" customHeight="1" x14ac:dyDescent="0.3">
      <c r="C28" s="48"/>
      <c r="D28" s="49"/>
      <c r="E28" s="49"/>
      <c r="F28" s="50"/>
      <c r="H28" s="89" t="str">
        <f>IF(C10&lt;1,"",C10)</f>
        <v/>
      </c>
      <c r="I28" s="90"/>
      <c r="J28" s="90"/>
      <c r="K28" s="91"/>
      <c r="L28" s="82">
        <f>IF(L10,$L$20,0)</f>
        <v>0</v>
      </c>
      <c r="M28" s="82"/>
      <c r="N28" s="77">
        <f t="shared" si="13"/>
        <v>0</v>
      </c>
      <c r="O28" s="78"/>
      <c r="P28" s="77">
        <f t="shared" si="16"/>
        <v>0</v>
      </c>
      <c r="Q28" s="78"/>
      <c r="R28" s="92">
        <f t="shared" si="17"/>
        <v>0</v>
      </c>
      <c r="S28" s="92"/>
      <c r="T28" s="13"/>
      <c r="U28" s="13"/>
    </row>
    <row r="29" spans="3:21" ht="15" customHeight="1" x14ac:dyDescent="0.3">
      <c r="C29" s="48"/>
      <c r="D29" s="49"/>
      <c r="E29" s="49"/>
      <c r="F29" s="50"/>
    </row>
    <row r="30" spans="3:21" ht="15" customHeight="1" x14ac:dyDescent="0.3">
      <c r="C30" s="48"/>
      <c r="D30" s="49"/>
      <c r="E30" s="49"/>
      <c r="F30" s="50"/>
    </row>
    <row r="31" spans="3:21" ht="15" customHeight="1" x14ac:dyDescent="0.3">
      <c r="C31" s="48"/>
      <c r="D31" s="49"/>
      <c r="E31" s="49"/>
      <c r="F31" s="50"/>
    </row>
    <row r="32" spans="3:21" ht="15" customHeight="1" x14ac:dyDescent="0.3">
      <c r="C32" s="48"/>
      <c r="D32" s="49"/>
      <c r="E32" s="49"/>
      <c r="F32" s="50"/>
    </row>
    <row r="33" spans="3:6" ht="15" customHeight="1" x14ac:dyDescent="0.3">
      <c r="C33" s="48"/>
      <c r="D33" s="49"/>
      <c r="E33" s="49"/>
      <c r="F33" s="50"/>
    </row>
    <row r="34" spans="3:6" ht="15" customHeight="1" x14ac:dyDescent="0.3">
      <c r="C34" s="48"/>
      <c r="D34" s="49"/>
      <c r="E34" s="49"/>
      <c r="F34" s="50"/>
    </row>
    <row r="35" spans="3:6" ht="15" customHeight="1" x14ac:dyDescent="0.3">
      <c r="C35" s="48"/>
      <c r="D35" s="49"/>
      <c r="E35" s="49"/>
      <c r="F35" s="50"/>
    </row>
    <row r="36" spans="3:6" ht="15" customHeight="1" x14ac:dyDescent="0.3">
      <c r="C36" s="48"/>
      <c r="D36" s="49"/>
      <c r="E36" s="49"/>
      <c r="F36" s="50"/>
    </row>
    <row r="37" spans="3:6" ht="15" customHeight="1" x14ac:dyDescent="0.3">
      <c r="C37" s="48"/>
      <c r="D37" s="49"/>
      <c r="E37" s="49"/>
      <c r="F37" s="50"/>
    </row>
    <row r="38" spans="3:6" ht="15" customHeight="1" x14ac:dyDescent="0.3">
      <c r="C38" s="48"/>
      <c r="D38" s="49"/>
      <c r="E38" s="49"/>
      <c r="F38" s="50"/>
    </row>
    <row r="39" spans="3:6" ht="15" customHeight="1" x14ac:dyDescent="0.3">
      <c r="C39" s="48"/>
      <c r="D39" s="49"/>
      <c r="E39" s="49"/>
      <c r="F39" s="50"/>
    </row>
    <row r="40" spans="3:6" ht="15" customHeight="1" x14ac:dyDescent="0.3">
      <c r="C40" s="51"/>
      <c r="D40" s="52"/>
      <c r="E40" s="52"/>
      <c r="F40" s="53"/>
    </row>
  </sheetData>
  <sheetProtection algorithmName="SHA-512" hashValue="tlyOEZuSikFFSZ2N2YYNb3bVvKrb1Soz1y6fMb+lZIjoUdjQxU7K//5AM1XJCn1hF79e/C4AveOIegWSmBXkzw==" saltValue="QmrlRS2NS360zCPWLnt+kQ==" spinCount="100000" sheet="1" objects="1" scenarios="1"/>
  <mergeCells count="113">
    <mergeCell ref="R24:S24"/>
    <mergeCell ref="H25:K25"/>
    <mergeCell ref="L25:M25"/>
    <mergeCell ref="N25:O25"/>
    <mergeCell ref="P25:Q25"/>
    <mergeCell ref="R25:S25"/>
    <mergeCell ref="H28:K28"/>
    <mergeCell ref="L28:M28"/>
    <mergeCell ref="N28:O28"/>
    <mergeCell ref="P28:Q28"/>
    <mergeCell ref="R28:S28"/>
    <mergeCell ref="H26:K26"/>
    <mergeCell ref="L26:M26"/>
    <mergeCell ref="N26:O26"/>
    <mergeCell ref="P26:Q26"/>
    <mergeCell ref="R26:S26"/>
    <mergeCell ref="H27:K27"/>
    <mergeCell ref="L27:M27"/>
    <mergeCell ref="N27:O27"/>
    <mergeCell ref="P27:Q27"/>
    <mergeCell ref="R27:S27"/>
    <mergeCell ref="H24:K24"/>
    <mergeCell ref="L24:M24"/>
    <mergeCell ref="N24:O24"/>
    <mergeCell ref="R22:S22"/>
    <mergeCell ref="H23:K23"/>
    <mergeCell ref="L23:M23"/>
    <mergeCell ref="N23:O23"/>
    <mergeCell ref="P23:Q23"/>
    <mergeCell ref="R23:S23"/>
    <mergeCell ref="H20:K20"/>
    <mergeCell ref="L20:M20"/>
    <mergeCell ref="N20:O20"/>
    <mergeCell ref="P20:Q20"/>
    <mergeCell ref="H22:K22"/>
    <mergeCell ref="L22:M22"/>
    <mergeCell ref="N22:O22"/>
    <mergeCell ref="P22:Q22"/>
    <mergeCell ref="P24:Q24"/>
    <mergeCell ref="C13:D14"/>
    <mergeCell ref="E13:E14"/>
    <mergeCell ref="H16:K16"/>
    <mergeCell ref="L16:M16"/>
    <mergeCell ref="N16:O16"/>
    <mergeCell ref="P16:Q16"/>
    <mergeCell ref="H17:K17"/>
    <mergeCell ref="L17:M17"/>
    <mergeCell ref="N17:O17"/>
    <mergeCell ref="P17:Q17"/>
    <mergeCell ref="H14:K14"/>
    <mergeCell ref="L14:M14"/>
    <mergeCell ref="N14:O14"/>
    <mergeCell ref="P14:Q14"/>
    <mergeCell ref="C15:D15"/>
    <mergeCell ref="H18:K18"/>
    <mergeCell ref="L18:M18"/>
    <mergeCell ref="N18:O18"/>
    <mergeCell ref="P18:Q18"/>
    <mergeCell ref="H19:K19"/>
    <mergeCell ref="L19:M19"/>
    <mergeCell ref="N19:O19"/>
    <mergeCell ref="P19:Q19"/>
    <mergeCell ref="R14:S14"/>
    <mergeCell ref="R11:S11"/>
    <mergeCell ref="C11:F11"/>
    <mergeCell ref="H13:K13"/>
    <mergeCell ref="L13:M13"/>
    <mergeCell ref="N13:O13"/>
    <mergeCell ref="P13:Q13"/>
    <mergeCell ref="R13:S13"/>
    <mergeCell ref="C10:D10"/>
    <mergeCell ref="L10:M10"/>
    <mergeCell ref="N10:O10"/>
    <mergeCell ref="P10:Q10"/>
    <mergeCell ref="R10:S10"/>
    <mergeCell ref="H11:K11"/>
    <mergeCell ref="L11:M11"/>
    <mergeCell ref="N11:O11"/>
    <mergeCell ref="P11:Q11"/>
    <mergeCell ref="C8:D8"/>
    <mergeCell ref="L8:M8"/>
    <mergeCell ref="N8:O8"/>
    <mergeCell ref="P8:Q8"/>
    <mergeCell ref="R8:S8"/>
    <mergeCell ref="C9:D9"/>
    <mergeCell ref="L9:M9"/>
    <mergeCell ref="N9:O9"/>
    <mergeCell ref="P9:Q9"/>
    <mergeCell ref="R9:S9"/>
    <mergeCell ref="C16:F40"/>
    <mergeCell ref="R4:S4"/>
    <mergeCell ref="C5:D5"/>
    <mergeCell ref="L5:M5"/>
    <mergeCell ref="N5:O5"/>
    <mergeCell ref="P5:Q5"/>
    <mergeCell ref="R5:S5"/>
    <mergeCell ref="G3:H3"/>
    <mergeCell ref="L3:O3"/>
    <mergeCell ref="P3:Q3"/>
    <mergeCell ref="C4:D4"/>
    <mergeCell ref="L4:M4"/>
    <mergeCell ref="N4:O4"/>
    <mergeCell ref="P4:Q4"/>
    <mergeCell ref="C6:D6"/>
    <mergeCell ref="L6:M6"/>
    <mergeCell ref="N6:O6"/>
    <mergeCell ref="P6:Q6"/>
    <mergeCell ref="R6:S6"/>
    <mergeCell ref="C7:D7"/>
    <mergeCell ref="L7:M7"/>
    <mergeCell ref="N7:O7"/>
    <mergeCell ref="P7:Q7"/>
    <mergeCell ref="R7:S7"/>
  </mergeCells>
  <hyperlinks>
    <hyperlink ref="E13" r:id="rId1" display="Jennifer Adams at APS" xr:uid="{00000000-0004-0000-0000-000000000000}"/>
    <hyperlink ref="E13:E14" r:id="rId2" display="Provider Relations" xr:uid="{00000000-0004-0000-0000-000001000000}"/>
  </hyperlinks>
  <pageMargins left="0.25" right="0.25" top="0.25" bottom="0.25" header="0.3" footer="0.3"/>
  <pageSetup scale="77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T2016PD AND T2016SC RATE SETTER</vt:lpstr>
      <vt:lpstr>'T2016PD AND T2016SC RATE SETTER'!Print_Area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Field</dc:creator>
  <cp:lastModifiedBy>Brianna Walton</cp:lastModifiedBy>
  <cp:lastPrinted>2018-09-12T18:46:45Z</cp:lastPrinted>
  <dcterms:created xsi:type="dcterms:W3CDTF">2014-02-27T14:35:47Z</dcterms:created>
  <dcterms:modified xsi:type="dcterms:W3CDTF">2023-05-10T13:05:01Z</dcterms:modified>
</cp:coreProperties>
</file>